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A73FEF1D-DEF4-444C-85D0-3D9F773FCB6E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Metrics" sheetId="2" r:id="rId1"/>
    <sheet name="Current State" sheetId="1" r:id="rId2"/>
    <sheet name="Future State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3" l="1"/>
  <c r="G10" i="3"/>
  <c r="G26" i="3"/>
  <c r="G25" i="3"/>
  <c r="G24" i="3"/>
  <c r="G21" i="3"/>
  <c r="G20" i="3"/>
  <c r="G19" i="3"/>
  <c r="G16" i="3"/>
  <c r="G12" i="3"/>
  <c r="G11" i="3"/>
  <c r="G7" i="3"/>
  <c r="G6" i="3"/>
  <c r="G27" i="1"/>
  <c r="G26" i="1"/>
  <c r="G25" i="1"/>
  <c r="G22" i="1"/>
  <c r="G21" i="1"/>
  <c r="G20" i="1"/>
  <c r="G17" i="1"/>
  <c r="G16" i="1"/>
  <c r="G15" i="1"/>
  <c r="G12" i="1"/>
  <c r="G11" i="1"/>
  <c r="G10" i="1"/>
  <c r="G7" i="1"/>
  <c r="B29" i="1"/>
  <c r="G6" i="1"/>
  <c r="B31" i="3"/>
  <c r="E20" i="1"/>
  <c r="E27" i="1"/>
  <c r="E26" i="1"/>
  <c r="E25" i="1"/>
  <c r="E22" i="1"/>
  <c r="E16" i="1"/>
  <c r="E11" i="1"/>
  <c r="E21" i="1"/>
  <c r="E17" i="1"/>
  <c r="E15" i="1"/>
  <c r="E10" i="1"/>
  <c r="E7" i="1"/>
  <c r="E6" i="1"/>
  <c r="E10" i="3"/>
  <c r="E26" i="3"/>
  <c r="E24" i="3"/>
  <c r="E21" i="3"/>
  <c r="E20" i="3"/>
  <c r="E19" i="3"/>
  <c r="E16" i="3"/>
  <c r="E15" i="3"/>
  <c r="E12" i="3"/>
  <c r="E11" i="3"/>
  <c r="E7" i="3"/>
  <c r="E6" i="3"/>
  <c r="E28" i="3"/>
  <c r="D6" i="2"/>
  <c r="G28" i="3"/>
  <c r="I28" i="3" s="1"/>
  <c r="H25" i="3" l="1"/>
  <c r="H26" i="3"/>
  <c r="D26" i="3"/>
  <c r="F26" i="3" s="1"/>
  <c r="D25" i="3"/>
  <c r="F25" i="3" s="1"/>
  <c r="D24" i="3"/>
  <c r="F24" i="3" s="1"/>
  <c r="D21" i="3"/>
  <c r="F21" i="3" s="1"/>
  <c r="D20" i="3"/>
  <c r="F20" i="3" s="1"/>
  <c r="H19" i="3"/>
  <c r="D19" i="3"/>
  <c r="F19" i="3" s="1"/>
  <c r="I19" i="3" s="1"/>
  <c r="H16" i="3"/>
  <c r="D16" i="3"/>
  <c r="F16" i="3" s="1"/>
  <c r="I16" i="3" s="1"/>
  <c r="H15" i="3"/>
  <c r="D15" i="3"/>
  <c r="F15" i="3" s="1"/>
  <c r="I15" i="3" s="1"/>
  <c r="H12" i="3"/>
  <c r="D12" i="3"/>
  <c r="F12" i="3" s="1"/>
  <c r="I12" i="3" s="1"/>
  <c r="D11" i="3"/>
  <c r="F11" i="3" s="1"/>
  <c r="D10" i="3"/>
  <c r="F10" i="3" s="1"/>
  <c r="D7" i="3"/>
  <c r="F7" i="3" s="1"/>
  <c r="H6" i="3"/>
  <c r="D6" i="3"/>
  <c r="F6" i="3" s="1"/>
  <c r="I6" i="3" s="1"/>
  <c r="H27" i="1"/>
  <c r="H20" i="1"/>
  <c r="H17" i="1"/>
  <c r="H16" i="1"/>
  <c r="H15" i="1"/>
  <c r="H12" i="1"/>
  <c r="H11" i="1"/>
  <c r="H10" i="1"/>
  <c r="H6" i="1"/>
  <c r="H22" i="1"/>
  <c r="H21" i="1"/>
  <c r="H26" i="1"/>
  <c r="H25" i="1"/>
  <c r="D27" i="1"/>
  <c r="F27" i="1" s="1"/>
  <c r="D26" i="1"/>
  <c r="F26" i="1" s="1"/>
  <c r="D25" i="1"/>
  <c r="F25" i="1" s="1"/>
  <c r="D7" i="1"/>
  <c r="F7" i="1" s="1"/>
  <c r="D17" i="1"/>
  <c r="F17" i="1" s="1"/>
  <c r="D12" i="1"/>
  <c r="F12" i="1" s="1"/>
  <c r="D22" i="1"/>
  <c r="F22" i="1" s="1"/>
  <c r="D16" i="1"/>
  <c r="F16" i="1" s="1"/>
  <c r="D11" i="1"/>
  <c r="F11" i="1" s="1"/>
  <c r="D20" i="1"/>
  <c r="F20" i="1" s="1"/>
  <c r="D21" i="1"/>
  <c r="F21" i="1" s="1"/>
  <c r="D6" i="1"/>
  <c r="F6" i="1" s="1"/>
  <c r="D10" i="1"/>
  <c r="F10" i="1" s="1"/>
  <c r="D15" i="1"/>
  <c r="F15" i="1" s="1"/>
  <c r="I7" i="1" l="1"/>
  <c r="H7" i="1"/>
  <c r="H29" i="1" s="1"/>
  <c r="I25" i="3"/>
  <c r="I26" i="3"/>
  <c r="I10" i="3"/>
  <c r="I24" i="3"/>
  <c r="I21" i="3"/>
  <c r="I7" i="3"/>
  <c r="I11" i="3"/>
  <c r="I20" i="3"/>
  <c r="H7" i="3"/>
  <c r="H20" i="3"/>
  <c r="H11" i="3"/>
  <c r="H24" i="3"/>
  <c r="H10" i="3"/>
  <c r="H21" i="3"/>
  <c r="I20" i="1"/>
  <c r="I10" i="1"/>
  <c r="I6" i="1"/>
  <c r="I25" i="1"/>
  <c r="I11" i="1"/>
  <c r="I12" i="1"/>
  <c r="I26" i="1"/>
  <c r="I15" i="1"/>
  <c r="I21" i="1"/>
  <c r="I16" i="1"/>
  <c r="I22" i="1"/>
  <c r="I17" i="1"/>
  <c r="I27" i="1"/>
  <c r="H29" i="3" l="1"/>
  <c r="I29" i="3"/>
  <c r="I29" i="1"/>
  <c r="C31" i="3" l="1"/>
  <c r="C32" i="3" s="1"/>
</calcChain>
</file>

<file path=xl/sharedStrings.xml><?xml version="1.0" encoding="utf-8"?>
<sst xmlns="http://schemas.openxmlformats.org/spreadsheetml/2006/main" count="96" uniqueCount="55">
  <si>
    <t>Requirements Management</t>
  </si>
  <si>
    <t>Test Case Editing</t>
  </si>
  <si>
    <t>Manual Testing</t>
  </si>
  <si>
    <t>Bug Tracking</t>
  </si>
  <si>
    <t>Reporting</t>
  </si>
  <si>
    <t>Activity</t>
  </si>
  <si>
    <t>Actors</t>
  </si>
  <si>
    <t>Business Analyst</t>
  </si>
  <si>
    <t>Business Analysts</t>
  </si>
  <si>
    <t>QTY</t>
  </si>
  <si>
    <t>Unit. Cost/hr</t>
  </si>
  <si>
    <t>Cost/hr</t>
  </si>
  <si>
    <t># hours</t>
  </si>
  <si>
    <t>TOTAL Cost</t>
  </si>
  <si>
    <t>Writing requirements in MS-Word</t>
  </si>
  <si>
    <t>Writing test cases in Excel</t>
  </si>
  <si>
    <t>Reviewing test cases</t>
  </si>
  <si>
    <t>Updating and distributing test cases</t>
  </si>
  <si>
    <t>Testers</t>
  </si>
  <si>
    <t>Executing tests and recording results in Excel</t>
  </si>
  <si>
    <t>Manually updating the test results into a central sheet</t>
  </si>
  <si>
    <t>Creating new defects in bug-tracker and linking to results</t>
  </si>
  <si>
    <t>Reviewing bugs in old Bug Tracker</t>
  </si>
  <si>
    <t>Reviewing fixed bugs in old bug tracker</t>
  </si>
  <si>
    <t>Compiling requirements coverage metrics</t>
  </si>
  <si>
    <t>Compiling defect metrics and making graphs</t>
  </si>
  <si>
    <t>Compiling testing metrics and making graphs</t>
  </si>
  <si>
    <t>Developers</t>
  </si>
  <si>
    <t>QA Manager</t>
  </si>
  <si>
    <t>Bug triaging and prioritization</t>
  </si>
  <si>
    <t>Person Hours</t>
  </si>
  <si>
    <t>Writing requirements in SpiraTest</t>
  </si>
  <si>
    <t>Managing requirements in SpiraTest</t>
  </si>
  <si>
    <t>Writing test cases in SpiraTest</t>
  </si>
  <si>
    <t>Reviewing test cases in SpiraTest</t>
  </si>
  <si>
    <t>Reviewing bugs in SpiraTest Bug Tracker</t>
  </si>
  <si>
    <t>Reviewing fixed bugs in SpiraTest bug tracker</t>
  </si>
  <si>
    <t>Reviewing requirements coverage metrics</t>
  </si>
  <si>
    <t>Reviewing testing metrics and dashboards/graphs</t>
  </si>
  <si>
    <t>Reviewing defect metrics and dashboards/graphs</t>
  </si>
  <si>
    <t>ROI of Investment:</t>
  </si>
  <si>
    <t>Executing tests and recording results in SpiraTest</t>
  </si>
  <si>
    <t>Annual Salary</t>
  </si>
  <si>
    <t># Months</t>
  </si>
  <si>
    <t>TOTAL COST for specified time</t>
  </si>
  <si>
    <t>Cost of SpiraTest Test Management System</t>
  </si>
  <si>
    <t>SpiraTest (monthly)</t>
  </si>
  <si>
    <t># months</t>
  </si>
  <si>
    <t>Role</t>
  </si>
  <si>
    <t>Tester</t>
  </si>
  <si>
    <t>Developer</t>
  </si>
  <si>
    <t># People</t>
  </si>
  <si>
    <t>TOTAL</t>
  </si>
  <si>
    <t>Assumption: X-month project with monthly sprints/iterations</t>
  </si>
  <si>
    <t>Managing documents in SharePoint,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</si>
</sst>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_([$$-409]* #,##0.00_);_([$$-409]* \(#,##0.00\);_([$$-409]* &quot;-&quot;??_);_(@_)"/>
    <numFmt numFmtId="166" formatCode="_([$$-409]* #,##0_);_([$$-409]* \(#,##0\);_([$$-409]* &quot;-&quot;??_);_(@_)"/>
    <numFmt numFmtId="167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166" fontId="0" fillId="0" borderId="1" xfId="0" applyNumberFormat="1" applyBorder="1"/>
    <xf numFmtId="0" fontId="1" fillId="2" borderId="1" xfId="0" applyFont="1" applyFill="1" applyBorder="1"/>
    <xf numFmtId="165" fontId="0" fillId="0" borderId="1" xfId="0" applyNumberFormat="1" applyBorder="1"/>
    <xf numFmtId="0" fontId="2" fillId="0" borderId="0" xfId="0" applyFont="1"/>
    <xf numFmtId="1" fontId="0" fillId="0" borderId="0" xfId="0" applyNumberFormat="1"/>
    <xf numFmtId="1" fontId="1" fillId="2" borderId="1" xfId="0" applyNumberFormat="1" applyFont="1" applyFill="1" applyBorder="1"/>
    <xf numFmtId="1" fontId="0" fillId="0" borderId="1" xfId="0" applyNumberFormat="1" applyBorder="1"/>
    <xf numFmtId="167" fontId="1" fillId="3" borderId="1" xfId="0" applyNumberFormat="1" applyFont="1" applyFill="1" applyBorder="1"/>
    <xf numFmtId="3" fontId="0" fillId="0" borderId="1" xfId="0" applyNumberFormat="1" applyBorder="1"/>
    <xf numFmtId="0" fontId="1" fillId="0" borderId="1" xfId="0" applyFont="1" applyFill="1" applyBorder="1"/>
    <xf numFmtId="164" fontId="0" fillId="0" borderId="1" xfId="0" applyNumberFormat="1" applyBorder="1"/>
    <xf numFmtId="0" fontId="0" fillId="2" borderId="1" xfId="0" applyFill="1" applyBorder="1"/>
    <xf numFmtId="1" fontId="0" fillId="2" borderId="1" xfId="0" applyNumberFormat="1" applyFill="1" applyBorder="1"/>
    <xf numFmtId="0" fontId="0" fillId="0" borderId="0" xfId="0" applyBorder="1"/>
    <xf numFmtId="164" fontId="1" fillId="0" borderId="0" xfId="0" applyNumberFormat="1" applyFont="1" applyBorder="1" applyAlignment="1">
      <alignment horizontal="right"/>
    </xf>
    <xf numFmtId="165" fontId="1" fillId="4" borderId="1" xfId="0" applyNumberFormat="1" applyFont="1" applyFill="1" applyBorder="1"/>
    <xf numFmtId="167" fontId="1" fillId="5" borderId="1" xfId="0" applyNumberFormat="1" applyFont="1" applyFill="1" applyBorder="1"/>
    <xf numFmtId="9" fontId="1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8"/>
  <sheetViews>
    <sheetView workbookViewId="0">
      <selection activeCell="C8" sqref="C8"/>
    </sheetView>
  </sheetViews>
  <sheetFormatPr defaultRowHeight="14.4" x14ac:dyDescent="0.3"/>
  <cols>
    <col min="1" max="1" width="4.44140625" customWidth="1"/>
    <col min="2" max="2" width="14.77734375" bestFit="1" customWidth="1"/>
    <col min="3" max="3" width="12.5546875" bestFit="1" customWidth="1"/>
  </cols>
  <sheetData>
    <row r="1" spans="2:4" x14ac:dyDescent="0.3">
      <c r="B1" s="6" t="s">
        <v>48</v>
      </c>
      <c r="C1" s="6" t="s">
        <v>42</v>
      </c>
      <c r="D1" s="6" t="s">
        <v>51</v>
      </c>
    </row>
    <row r="2" spans="2:4" x14ac:dyDescent="0.3">
      <c r="B2" s="1" t="s">
        <v>49</v>
      </c>
      <c r="C2" s="15">
        <v>60000</v>
      </c>
      <c r="D2" s="1">
        <v>20</v>
      </c>
    </row>
    <row r="3" spans="2:4" x14ac:dyDescent="0.3">
      <c r="B3" s="1" t="s">
        <v>50</v>
      </c>
      <c r="C3" s="15">
        <v>80000</v>
      </c>
      <c r="D3" s="1">
        <v>5</v>
      </c>
    </row>
    <row r="4" spans="2:4" x14ac:dyDescent="0.3">
      <c r="B4" s="1" t="s">
        <v>28</v>
      </c>
      <c r="C4" s="15">
        <v>90000</v>
      </c>
      <c r="D4" s="1">
        <v>1</v>
      </c>
    </row>
    <row r="5" spans="2:4" x14ac:dyDescent="0.3">
      <c r="B5" s="1" t="s">
        <v>7</v>
      </c>
      <c r="C5" s="15">
        <v>70000</v>
      </c>
      <c r="D5" s="1">
        <v>4</v>
      </c>
    </row>
    <row r="6" spans="2:4" x14ac:dyDescent="0.3">
      <c r="B6" s="18"/>
      <c r="C6" s="19" t="s">
        <v>52</v>
      </c>
      <c r="D6" s="2">
        <f>SUM(D2:D5)</f>
        <v>30</v>
      </c>
    </row>
    <row r="8" spans="2:4" x14ac:dyDescent="0.3">
      <c r="B8" s="1" t="s">
        <v>43</v>
      </c>
      <c r="C8" s="1">
        <v>3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9"/>
  <sheetViews>
    <sheetView topLeftCell="A4" workbookViewId="0">
      <selection activeCell="B29" sqref="B29"/>
    </sheetView>
  </sheetViews>
  <sheetFormatPr defaultRowHeight="14.4" x14ac:dyDescent="0.3"/>
  <cols>
    <col min="2" max="2" width="46.44140625" customWidth="1"/>
    <col min="3" max="3" width="17.6640625" bestFit="1" customWidth="1"/>
    <col min="4" max="4" width="12" bestFit="1" customWidth="1"/>
    <col min="6" max="6" width="14" customWidth="1"/>
    <col min="7" max="7" width="8.88671875" style="9"/>
    <col min="8" max="8" width="12.109375" style="9" bestFit="1" customWidth="1"/>
    <col min="9" max="9" width="12.44140625" bestFit="1" customWidth="1"/>
  </cols>
  <sheetData>
    <row r="2" spans="2:9" ht="21" x14ac:dyDescent="0.4">
      <c r="B2" s="8" t="s">
        <v>53</v>
      </c>
    </row>
    <row r="4" spans="2:9" x14ac:dyDescent="0.3">
      <c r="B4" s="6" t="s">
        <v>5</v>
      </c>
      <c r="C4" s="6" t="s">
        <v>6</v>
      </c>
      <c r="D4" s="6" t="s">
        <v>10</v>
      </c>
      <c r="E4" s="6" t="s">
        <v>9</v>
      </c>
      <c r="F4" s="6" t="s">
        <v>11</v>
      </c>
      <c r="G4" s="10" t="s">
        <v>12</v>
      </c>
      <c r="H4" s="10" t="s">
        <v>30</v>
      </c>
      <c r="I4" s="6" t="s">
        <v>13</v>
      </c>
    </row>
    <row r="5" spans="2:9" x14ac:dyDescent="0.3">
      <c r="B5" s="3" t="s">
        <v>0</v>
      </c>
      <c r="C5" s="4"/>
      <c r="D5" s="1"/>
      <c r="E5" s="1"/>
      <c r="F5" s="1"/>
      <c r="G5" s="11"/>
      <c r="H5" s="11"/>
      <c r="I5" s="1"/>
    </row>
    <row r="6" spans="2:9" x14ac:dyDescent="0.3">
      <c r="B6" s="1" t="s">
        <v>14</v>
      </c>
      <c r="C6" s="1" t="s">
        <v>8</v>
      </c>
      <c r="D6" s="5">
        <f>Metrics!$C$5/2080</f>
        <v>33.653846153846153</v>
      </c>
      <c r="E6" s="1">
        <f>Metrics!D5</f>
        <v>4</v>
      </c>
      <c r="F6" s="5">
        <f>D6*E6</f>
        <v>134.61538461538461</v>
      </c>
      <c r="G6" s="11">
        <f>Metrics!C8*10*5</f>
        <v>150</v>
      </c>
      <c r="H6" s="11">
        <f>G6*E6</f>
        <v>600</v>
      </c>
      <c r="I6" s="7">
        <f>G6*F6</f>
        <v>20192.307692307691</v>
      </c>
    </row>
    <row r="7" spans="2:9" x14ac:dyDescent="0.3">
      <c r="B7" s="1" t="s">
        <v>54</v>
      </c>
      <c r="C7" s="1" t="s">
        <v>28</v>
      </c>
      <c r="D7" s="5">
        <f>Metrics!$C$4/2080</f>
        <v>43.269230769230766</v>
      </c>
      <c r="E7" s="1">
        <f>Metrics!D4</f>
        <v>1</v>
      </c>
      <c r="F7" s="5">
        <f>D7*E7</f>
        <v>43.269230769230766</v>
      </c>
      <c r="G7" s="11">
        <f>Metrics!C8*10</f>
        <v>30</v>
      </c>
      <c r="H7" s="11">
        <f>G7*E7</f>
        <v>30</v>
      </c>
      <c r="I7" s="7">
        <f>G7*F7</f>
        <v>1298.0769230769231</v>
      </c>
    </row>
    <row r="8" spans="2:9" x14ac:dyDescent="0.3">
      <c r="B8" s="1"/>
      <c r="C8" s="1"/>
      <c r="D8" s="1"/>
      <c r="E8" s="1"/>
      <c r="F8" s="1"/>
      <c r="G8" s="11"/>
      <c r="H8" s="11"/>
      <c r="I8" s="1"/>
    </row>
    <row r="9" spans="2:9" x14ac:dyDescent="0.3">
      <c r="B9" s="2" t="s">
        <v>1</v>
      </c>
      <c r="C9" s="1"/>
      <c r="D9" s="1"/>
      <c r="E9" s="1"/>
      <c r="F9" s="1"/>
      <c r="G9" s="11"/>
      <c r="H9" s="11"/>
      <c r="I9" s="1"/>
    </row>
    <row r="10" spans="2:9" x14ac:dyDescent="0.3">
      <c r="B10" s="1" t="s">
        <v>15</v>
      </c>
      <c r="C10" s="1" t="s">
        <v>18</v>
      </c>
      <c r="D10" s="5">
        <f>Metrics!$C$2/2080</f>
        <v>28.846153846153847</v>
      </c>
      <c r="E10" s="1">
        <f>Metrics!D2</f>
        <v>20</v>
      </c>
      <c r="F10" s="5">
        <f>D10*E10</f>
        <v>576.92307692307691</v>
      </c>
      <c r="G10" s="11">
        <f>Metrics!C8*2*8</f>
        <v>48</v>
      </c>
      <c r="H10" s="11">
        <f>G10*E10</f>
        <v>960</v>
      </c>
      <c r="I10" s="7">
        <f>G10*F10</f>
        <v>27692.307692307691</v>
      </c>
    </row>
    <row r="11" spans="2:9" x14ac:dyDescent="0.3">
      <c r="B11" s="1" t="s">
        <v>16</v>
      </c>
      <c r="C11" s="1" t="s">
        <v>28</v>
      </c>
      <c r="D11" s="5">
        <f>Metrics!$C$4/2080</f>
        <v>43.269230769230766</v>
      </c>
      <c r="E11" s="1">
        <f>Metrics!D4</f>
        <v>1</v>
      </c>
      <c r="F11" s="5">
        <f>D11*E11</f>
        <v>43.269230769230766</v>
      </c>
      <c r="G11" s="11">
        <f>Metrics!C8*4</f>
        <v>12</v>
      </c>
      <c r="H11" s="11">
        <f>G11*E11</f>
        <v>12</v>
      </c>
      <c r="I11" s="7">
        <f>G11*F11</f>
        <v>519.23076923076917</v>
      </c>
    </row>
    <row r="12" spans="2:9" x14ac:dyDescent="0.3">
      <c r="B12" s="1" t="s">
        <v>17</v>
      </c>
      <c r="C12" s="1" t="s">
        <v>18</v>
      </c>
      <c r="D12" s="5">
        <f>Metrics!$C$2/2080</f>
        <v>28.846153846153847</v>
      </c>
      <c r="E12" s="1">
        <v>4</v>
      </c>
      <c r="F12" s="5">
        <f>D12*E12</f>
        <v>115.38461538461539</v>
      </c>
      <c r="G12" s="11">
        <f>Metrics!C8*5</f>
        <v>15</v>
      </c>
      <c r="H12" s="11">
        <f>G12*E12</f>
        <v>60</v>
      </c>
      <c r="I12" s="7">
        <f>G12*F12</f>
        <v>1730.7692307692307</v>
      </c>
    </row>
    <row r="13" spans="2:9" x14ac:dyDescent="0.3">
      <c r="B13" s="1"/>
      <c r="C13" s="1"/>
      <c r="D13" s="1"/>
      <c r="E13" s="1"/>
      <c r="F13" s="1"/>
      <c r="G13" s="11"/>
      <c r="H13" s="11"/>
      <c r="I13" s="1"/>
    </row>
    <row r="14" spans="2:9" x14ac:dyDescent="0.3">
      <c r="B14" s="2" t="s">
        <v>2</v>
      </c>
      <c r="C14" s="1"/>
      <c r="D14" s="1"/>
      <c r="E14" s="1"/>
      <c r="F14" s="1"/>
      <c r="G14" s="11"/>
      <c r="H14" s="11"/>
      <c r="I14" s="1"/>
    </row>
    <row r="15" spans="2:9" x14ac:dyDescent="0.3">
      <c r="B15" s="1" t="s">
        <v>19</v>
      </c>
      <c r="C15" s="1" t="s">
        <v>18</v>
      </c>
      <c r="D15" s="5">
        <f>Metrics!$C$2/2080</f>
        <v>28.846153846153847</v>
      </c>
      <c r="E15" s="1">
        <f>Metrics!D2</f>
        <v>20</v>
      </c>
      <c r="F15" s="5">
        <f>D15*E15</f>
        <v>576.92307692307691</v>
      </c>
      <c r="G15" s="11">
        <f>Metrics!C8*20*4</f>
        <v>240</v>
      </c>
      <c r="H15" s="11">
        <f>G15*E15</f>
        <v>4800</v>
      </c>
      <c r="I15" s="7">
        <f>G15*F15</f>
        <v>138461.53846153847</v>
      </c>
    </row>
    <row r="16" spans="2:9" x14ac:dyDescent="0.3">
      <c r="B16" s="1" t="s">
        <v>20</v>
      </c>
      <c r="C16" s="1" t="s">
        <v>28</v>
      </c>
      <c r="D16" s="5">
        <f>Metrics!$C$4/2080</f>
        <v>43.269230769230766</v>
      </c>
      <c r="E16" s="1">
        <f>Metrics!D4</f>
        <v>1</v>
      </c>
      <c r="F16" s="5">
        <f>D16*E16</f>
        <v>43.269230769230766</v>
      </c>
      <c r="G16" s="11">
        <f>Metrics!C8*20*2</f>
        <v>120</v>
      </c>
      <c r="H16" s="11">
        <f>G16*E16</f>
        <v>120</v>
      </c>
      <c r="I16" s="7">
        <f>G16*F16</f>
        <v>5192.3076923076924</v>
      </c>
    </row>
    <row r="17" spans="2:9" x14ac:dyDescent="0.3">
      <c r="B17" s="1" t="s">
        <v>21</v>
      </c>
      <c r="C17" s="1" t="s">
        <v>18</v>
      </c>
      <c r="D17" s="5">
        <f>Metrics!$C$2/2080</f>
        <v>28.846153846153847</v>
      </c>
      <c r="E17" s="1">
        <f>Metrics!D2</f>
        <v>20</v>
      </c>
      <c r="F17" s="5">
        <f>D17*E17</f>
        <v>576.92307692307691</v>
      </c>
      <c r="G17" s="11">
        <f>Metrics!C8*20*1</f>
        <v>60</v>
      </c>
      <c r="H17" s="11">
        <f>G17*E17</f>
        <v>1200</v>
      </c>
      <c r="I17" s="7">
        <f>G17*F17</f>
        <v>34615.384615384617</v>
      </c>
    </row>
    <row r="18" spans="2:9" x14ac:dyDescent="0.3">
      <c r="B18" s="1"/>
      <c r="C18" s="1"/>
      <c r="D18" s="1"/>
      <c r="E18" s="1"/>
      <c r="F18" s="1"/>
      <c r="G18" s="11"/>
      <c r="H18" s="11"/>
      <c r="I18" s="1"/>
    </row>
    <row r="19" spans="2:9" x14ac:dyDescent="0.3">
      <c r="B19" s="2" t="s">
        <v>3</v>
      </c>
      <c r="C19" s="1"/>
      <c r="D19" s="1"/>
      <c r="E19" s="1"/>
      <c r="F19" s="1"/>
      <c r="G19" s="11"/>
      <c r="H19" s="11"/>
      <c r="I19" s="1"/>
    </row>
    <row r="20" spans="2:9" x14ac:dyDescent="0.3">
      <c r="B20" s="1" t="s">
        <v>22</v>
      </c>
      <c r="C20" s="1" t="s">
        <v>27</v>
      </c>
      <c r="D20" s="5">
        <f>Metrics!$C$3/2080</f>
        <v>38.46153846153846</v>
      </c>
      <c r="E20" s="1">
        <f>Metrics!D3</f>
        <v>5</v>
      </c>
      <c r="F20" s="5">
        <f>D20*E20</f>
        <v>192.30769230769229</v>
      </c>
      <c r="G20" s="11">
        <f>Metrics!C8*20*0.5</f>
        <v>30</v>
      </c>
      <c r="H20" s="11">
        <f>G20*E20</f>
        <v>150</v>
      </c>
      <c r="I20" s="7">
        <f>G20*F20</f>
        <v>5769.2307692307686</v>
      </c>
    </row>
    <row r="21" spans="2:9" x14ac:dyDescent="0.3">
      <c r="B21" s="1" t="s">
        <v>23</v>
      </c>
      <c r="C21" s="1" t="s">
        <v>18</v>
      </c>
      <c r="D21" s="5">
        <f>Metrics!$C$2/2080</f>
        <v>28.846153846153847</v>
      </c>
      <c r="E21" s="1">
        <f>Metrics!D2</f>
        <v>20</v>
      </c>
      <c r="F21" s="5">
        <f>D21*E21</f>
        <v>576.92307692307691</v>
      </c>
      <c r="G21" s="11">
        <f>Metrics!C8*20*0.5</f>
        <v>30</v>
      </c>
      <c r="H21" s="11">
        <f>G21*E21</f>
        <v>600</v>
      </c>
      <c r="I21" s="7">
        <f>G21*F21</f>
        <v>17307.692307692309</v>
      </c>
    </row>
    <row r="22" spans="2:9" x14ac:dyDescent="0.3">
      <c r="B22" s="1" t="s">
        <v>29</v>
      </c>
      <c r="C22" s="1" t="s">
        <v>28</v>
      </c>
      <c r="D22" s="5">
        <f>Metrics!$C$4/2080</f>
        <v>43.269230769230766</v>
      </c>
      <c r="E22" s="1">
        <f>Metrics!D4</f>
        <v>1</v>
      </c>
      <c r="F22" s="5">
        <f>D22*E22</f>
        <v>43.269230769230766</v>
      </c>
      <c r="G22" s="11">
        <f>Metrics!C8*3</f>
        <v>9</v>
      </c>
      <c r="H22" s="11">
        <f>G22*E22</f>
        <v>9</v>
      </c>
      <c r="I22" s="7">
        <f>G22*F22</f>
        <v>389.42307692307691</v>
      </c>
    </row>
    <row r="23" spans="2:9" x14ac:dyDescent="0.3">
      <c r="B23" s="1"/>
      <c r="C23" s="1"/>
      <c r="D23" s="1"/>
      <c r="E23" s="1"/>
      <c r="F23" s="1"/>
      <c r="G23" s="11"/>
      <c r="H23" s="11"/>
      <c r="I23" s="1"/>
    </row>
    <row r="24" spans="2:9" x14ac:dyDescent="0.3">
      <c r="B24" s="2" t="s">
        <v>4</v>
      </c>
      <c r="C24" s="1"/>
      <c r="D24" s="1"/>
      <c r="E24" s="1"/>
      <c r="F24" s="1"/>
      <c r="G24" s="11"/>
      <c r="H24" s="11"/>
      <c r="I24" s="1"/>
    </row>
    <row r="25" spans="2:9" x14ac:dyDescent="0.3">
      <c r="B25" s="1" t="s">
        <v>24</v>
      </c>
      <c r="C25" s="1" t="s">
        <v>28</v>
      </c>
      <c r="D25" s="5">
        <f>Metrics!$C$4/2080</f>
        <v>43.269230769230766</v>
      </c>
      <c r="E25" s="1">
        <f>Metrics!D4</f>
        <v>1</v>
      </c>
      <c r="F25" s="5">
        <f>D25*E25</f>
        <v>43.269230769230766</v>
      </c>
      <c r="G25" s="11">
        <f>4*Metrics!C8*4</f>
        <v>48</v>
      </c>
      <c r="H25" s="11">
        <f>G25*E25</f>
        <v>48</v>
      </c>
      <c r="I25" s="7">
        <f>G25*F25</f>
        <v>2076.9230769230767</v>
      </c>
    </row>
    <row r="26" spans="2:9" x14ac:dyDescent="0.3">
      <c r="B26" s="1" t="s">
        <v>26</v>
      </c>
      <c r="C26" s="1" t="s">
        <v>28</v>
      </c>
      <c r="D26" s="5">
        <f>Metrics!$C$4/2080</f>
        <v>43.269230769230766</v>
      </c>
      <c r="E26" s="1">
        <f>Metrics!D4</f>
        <v>1</v>
      </c>
      <c r="F26" s="5">
        <f>D26*E26</f>
        <v>43.269230769230766</v>
      </c>
      <c r="G26" s="11">
        <f>4*Metrics!C8*4</f>
        <v>48</v>
      </c>
      <c r="H26" s="11">
        <f>G26*E26</f>
        <v>48</v>
      </c>
      <c r="I26" s="7">
        <f>G26*F26</f>
        <v>2076.9230769230767</v>
      </c>
    </row>
    <row r="27" spans="2:9" x14ac:dyDescent="0.3">
      <c r="B27" s="1" t="s">
        <v>25</v>
      </c>
      <c r="C27" s="1" t="s">
        <v>28</v>
      </c>
      <c r="D27" s="5">
        <f>Metrics!$C$4/2080</f>
        <v>43.269230769230766</v>
      </c>
      <c r="E27" s="1">
        <f>Metrics!D4</f>
        <v>1</v>
      </c>
      <c r="F27" s="5">
        <f>D27*E27</f>
        <v>43.269230769230766</v>
      </c>
      <c r="G27" s="11">
        <f>4*Metrics!C8*4</f>
        <v>48</v>
      </c>
      <c r="H27" s="11">
        <f>G27*E27</f>
        <v>48</v>
      </c>
      <c r="I27" s="7">
        <f>G27*F27</f>
        <v>2076.9230769230767</v>
      </c>
    </row>
    <row r="28" spans="2:9" x14ac:dyDescent="0.3">
      <c r="B28" s="2"/>
      <c r="C28" s="1"/>
      <c r="D28" s="1"/>
      <c r="E28" s="1"/>
      <c r="F28" s="1"/>
      <c r="G28" s="11"/>
      <c r="H28" s="11"/>
      <c r="I28" s="1"/>
    </row>
    <row r="29" spans="2:9" x14ac:dyDescent="0.3">
      <c r="B29" s="2" t="str">
        <f>CONCATENATE("TOTAL COST for ",Metrics!C8,"-month Project")</f>
        <v>TOTAL COST for 3-month Project</v>
      </c>
      <c r="C29" s="1"/>
      <c r="D29" s="1"/>
      <c r="E29" s="11"/>
      <c r="F29" s="1"/>
      <c r="G29" s="11"/>
      <c r="H29" s="13">
        <f>SUM(H6:H27)</f>
        <v>8685</v>
      </c>
      <c r="I29" s="12">
        <f>SUM(I5:I28)</f>
        <v>259399.03846153844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2"/>
  <sheetViews>
    <sheetView tabSelected="1" topLeftCell="A7" workbookViewId="0">
      <selection activeCell="G16" sqref="G16"/>
    </sheetView>
  </sheetViews>
  <sheetFormatPr defaultRowHeight="14.4" x14ac:dyDescent="0.3"/>
  <cols>
    <col min="2" max="2" width="46.44140625" customWidth="1"/>
    <col min="3" max="3" width="17.6640625" customWidth="1"/>
    <col min="4" max="4" width="12" customWidth="1"/>
    <col min="6" max="6" width="14" customWidth="1"/>
    <col min="7" max="7" width="8.88671875" style="9"/>
    <col min="8" max="8" width="12.109375" style="9" customWidth="1"/>
    <col min="9" max="9" width="12.44140625" customWidth="1"/>
  </cols>
  <sheetData>
    <row r="2" spans="2:9" ht="21" x14ac:dyDescent="0.4">
      <c r="B2" s="8" t="s">
        <v>53</v>
      </c>
    </row>
    <row r="4" spans="2:9" x14ac:dyDescent="0.3">
      <c r="B4" s="6" t="s">
        <v>5</v>
      </c>
      <c r="C4" s="6" t="s">
        <v>6</v>
      </c>
      <c r="D4" s="6" t="s">
        <v>10</v>
      </c>
      <c r="E4" s="6" t="s">
        <v>9</v>
      </c>
      <c r="F4" s="6" t="s">
        <v>11</v>
      </c>
      <c r="G4" s="10" t="s">
        <v>12</v>
      </c>
      <c r="H4" s="10" t="s">
        <v>30</v>
      </c>
      <c r="I4" s="6" t="s">
        <v>13</v>
      </c>
    </row>
    <row r="5" spans="2:9" x14ac:dyDescent="0.3">
      <c r="B5" s="3" t="s">
        <v>0</v>
      </c>
      <c r="C5" s="4"/>
      <c r="D5" s="1"/>
      <c r="E5" s="1"/>
      <c r="F5" s="1"/>
      <c r="G5" s="11"/>
      <c r="H5" s="11"/>
      <c r="I5" s="1"/>
    </row>
    <row r="6" spans="2:9" x14ac:dyDescent="0.3">
      <c r="B6" s="1" t="s">
        <v>31</v>
      </c>
      <c r="C6" s="1" t="s">
        <v>8</v>
      </c>
      <c r="D6" s="5">
        <f>Metrics!$C$5/2080</f>
        <v>33.653846153846153</v>
      </c>
      <c r="E6" s="1">
        <f>Metrics!D5</f>
        <v>4</v>
      </c>
      <c r="F6" s="5">
        <f>D6*E6</f>
        <v>134.61538461538461</v>
      </c>
      <c r="G6" s="11">
        <f>40*Metrics!C8</f>
        <v>120</v>
      </c>
      <c r="H6" s="11">
        <f>G6*E6</f>
        <v>480</v>
      </c>
      <c r="I6" s="7">
        <f>G6*F6</f>
        <v>16153.846153846154</v>
      </c>
    </row>
    <row r="7" spans="2:9" x14ac:dyDescent="0.3">
      <c r="B7" s="1" t="s">
        <v>32</v>
      </c>
      <c r="C7" s="1" t="s">
        <v>28</v>
      </c>
      <c r="D7" s="5">
        <f>Metrics!$C$4/2080</f>
        <v>43.269230769230766</v>
      </c>
      <c r="E7" s="1">
        <f>Metrics!D4</f>
        <v>1</v>
      </c>
      <c r="F7" s="5">
        <f>D7*E7</f>
        <v>43.269230769230766</v>
      </c>
      <c r="G7" s="11">
        <f>8*Metrics!C8</f>
        <v>24</v>
      </c>
      <c r="H7" s="11">
        <f>G7*E7</f>
        <v>24</v>
      </c>
      <c r="I7" s="7">
        <f>G7*F7</f>
        <v>1038.4615384615383</v>
      </c>
    </row>
    <row r="8" spans="2:9" x14ac:dyDescent="0.3">
      <c r="B8" s="1"/>
      <c r="C8" s="1"/>
      <c r="D8" s="1"/>
      <c r="E8" s="1"/>
      <c r="F8" s="1"/>
      <c r="G8" s="11"/>
      <c r="H8" s="11"/>
      <c r="I8" s="1"/>
    </row>
    <row r="9" spans="2:9" x14ac:dyDescent="0.3">
      <c r="B9" s="2" t="s">
        <v>1</v>
      </c>
      <c r="C9" s="1"/>
      <c r="D9" s="1"/>
      <c r="E9" s="1"/>
      <c r="F9" s="1"/>
      <c r="G9" s="11"/>
      <c r="H9" s="11"/>
      <c r="I9" s="1"/>
    </row>
    <row r="10" spans="2:9" x14ac:dyDescent="0.3">
      <c r="B10" s="1" t="s">
        <v>33</v>
      </c>
      <c r="C10" s="1" t="s">
        <v>18</v>
      </c>
      <c r="D10" s="5">
        <f>Metrics!$C$2/2080</f>
        <v>28.846153846153847</v>
      </c>
      <c r="E10" s="1">
        <f>Metrics!D2</f>
        <v>20</v>
      </c>
      <c r="F10" s="5">
        <f>D10*E10</f>
        <v>576.92307692307691</v>
      </c>
      <c r="G10" s="11">
        <f>20*1*Metrics!C8</f>
        <v>60</v>
      </c>
      <c r="H10" s="11">
        <f>G10*E10</f>
        <v>1200</v>
      </c>
      <c r="I10" s="7">
        <f>G10*F10</f>
        <v>34615.384615384617</v>
      </c>
    </row>
    <row r="11" spans="2:9" x14ac:dyDescent="0.3">
      <c r="B11" s="1" t="s">
        <v>34</v>
      </c>
      <c r="C11" s="1" t="s">
        <v>28</v>
      </c>
      <c r="D11" s="5">
        <f>Metrics!$C$4/2080</f>
        <v>43.269230769230766</v>
      </c>
      <c r="E11" s="1">
        <f>Metrics!D4</f>
        <v>1</v>
      </c>
      <c r="F11" s="5">
        <f>D11*E11</f>
        <v>43.269230769230766</v>
      </c>
      <c r="G11" s="11">
        <f>3*Metrics!C8</f>
        <v>9</v>
      </c>
      <c r="H11" s="11">
        <f>G11*E11</f>
        <v>9</v>
      </c>
      <c r="I11" s="7">
        <f>G11*F11</f>
        <v>389.42307692307691</v>
      </c>
    </row>
    <row r="12" spans="2:9" x14ac:dyDescent="0.3">
      <c r="B12" s="1" t="s">
        <v>17</v>
      </c>
      <c r="C12" s="1" t="s">
        <v>28</v>
      </c>
      <c r="D12" s="5">
        <f>Metrics!$C$2/2080</f>
        <v>28.846153846153847</v>
      </c>
      <c r="E12" s="1">
        <f>Metrics!D4</f>
        <v>1</v>
      </c>
      <c r="F12" s="5">
        <f>D12*E12</f>
        <v>28.846153846153847</v>
      </c>
      <c r="G12" s="11">
        <f>1*Metrics!C8</f>
        <v>3</v>
      </c>
      <c r="H12" s="11">
        <f>G12*E12</f>
        <v>3</v>
      </c>
      <c r="I12" s="7">
        <f>G12*F12</f>
        <v>86.538461538461547</v>
      </c>
    </row>
    <row r="13" spans="2:9" x14ac:dyDescent="0.3">
      <c r="B13" s="1"/>
      <c r="C13" s="1"/>
      <c r="D13" s="1"/>
      <c r="E13" s="1"/>
      <c r="F13" s="1"/>
      <c r="G13" s="11"/>
      <c r="H13" s="11"/>
      <c r="I13" s="1"/>
    </row>
    <row r="14" spans="2:9" x14ac:dyDescent="0.3">
      <c r="B14" s="2" t="s">
        <v>2</v>
      </c>
      <c r="C14" s="1"/>
      <c r="D14" s="1"/>
      <c r="E14" s="1"/>
      <c r="F14" s="1"/>
      <c r="G14" s="11"/>
      <c r="H14" s="11"/>
      <c r="I14" s="1"/>
    </row>
    <row r="15" spans="2:9" x14ac:dyDescent="0.3">
      <c r="B15" s="1" t="s">
        <v>41</v>
      </c>
      <c r="C15" s="1" t="s">
        <v>18</v>
      </c>
      <c r="D15" s="5">
        <f>Metrics!$C$2/2080</f>
        <v>28.846153846153847</v>
      </c>
      <c r="E15" s="1">
        <f>Metrics!D2</f>
        <v>20</v>
      </c>
      <c r="F15" s="5">
        <f>D15*E15</f>
        <v>576.92307692307691</v>
      </c>
      <c r="G15" s="11">
        <f>20*3*Metrics!C8</f>
        <v>180</v>
      </c>
      <c r="H15" s="11">
        <f>G15*E15</f>
        <v>3600</v>
      </c>
      <c r="I15" s="7">
        <f>G15*F15</f>
        <v>103846.15384615384</v>
      </c>
    </row>
    <row r="16" spans="2:9" x14ac:dyDescent="0.3">
      <c r="B16" s="1" t="s">
        <v>21</v>
      </c>
      <c r="C16" s="1" t="s">
        <v>18</v>
      </c>
      <c r="D16" s="5">
        <f>Metrics!$C$2/2080</f>
        <v>28.846153846153847</v>
      </c>
      <c r="E16" s="1">
        <f>Metrics!D2</f>
        <v>20</v>
      </c>
      <c r="F16" s="5">
        <f>D16*E16</f>
        <v>576.92307692307691</v>
      </c>
      <c r="G16" s="11">
        <f>15*Metrics!C8</f>
        <v>45</v>
      </c>
      <c r="H16" s="11">
        <f>G16*E16</f>
        <v>900</v>
      </c>
      <c r="I16" s="7">
        <f>G16*F16</f>
        <v>25961.538461538461</v>
      </c>
    </row>
    <row r="17" spans="2:9" x14ac:dyDescent="0.3">
      <c r="B17" s="1"/>
      <c r="C17" s="1"/>
      <c r="D17" s="1"/>
      <c r="E17" s="1"/>
      <c r="F17" s="1"/>
      <c r="G17" s="11"/>
      <c r="H17" s="11"/>
      <c r="I17" s="1"/>
    </row>
    <row r="18" spans="2:9" x14ac:dyDescent="0.3">
      <c r="B18" s="2" t="s">
        <v>3</v>
      </c>
      <c r="C18" s="1"/>
      <c r="D18" s="1"/>
      <c r="E18" s="1"/>
      <c r="F18" s="1"/>
      <c r="G18" s="11"/>
      <c r="H18" s="11"/>
      <c r="I18" s="1"/>
    </row>
    <row r="19" spans="2:9" x14ac:dyDescent="0.3">
      <c r="B19" s="1" t="s">
        <v>35</v>
      </c>
      <c r="C19" s="1" t="s">
        <v>27</v>
      </c>
      <c r="D19" s="5">
        <f>Metrics!$C$3/2080</f>
        <v>38.46153846153846</v>
      </c>
      <c r="E19" s="1">
        <f>Metrics!D3</f>
        <v>5</v>
      </c>
      <c r="F19" s="5">
        <f>D19*E19</f>
        <v>192.30769230769229</v>
      </c>
      <c r="G19" s="11">
        <f>8*Metrics!C8</f>
        <v>24</v>
      </c>
      <c r="H19" s="11">
        <f>G19*E19</f>
        <v>120</v>
      </c>
      <c r="I19" s="7">
        <f>G19*F19</f>
        <v>4615.3846153846152</v>
      </c>
    </row>
    <row r="20" spans="2:9" x14ac:dyDescent="0.3">
      <c r="B20" s="1" t="s">
        <v>36</v>
      </c>
      <c r="C20" s="1" t="s">
        <v>18</v>
      </c>
      <c r="D20" s="5">
        <f>Metrics!$C$2/2080</f>
        <v>28.846153846153847</v>
      </c>
      <c r="E20" s="1">
        <f>Metrics!D3</f>
        <v>5</v>
      </c>
      <c r="F20" s="5">
        <f>D20*E20</f>
        <v>144.23076923076923</v>
      </c>
      <c r="G20" s="11">
        <f>8*Metrics!C8</f>
        <v>24</v>
      </c>
      <c r="H20" s="11">
        <f>G20*E20</f>
        <v>120</v>
      </c>
      <c r="I20" s="7">
        <f>G20*F20</f>
        <v>3461.5384615384614</v>
      </c>
    </row>
    <row r="21" spans="2:9" x14ac:dyDescent="0.3">
      <c r="B21" s="1" t="s">
        <v>29</v>
      </c>
      <c r="C21" s="1" t="s">
        <v>28</v>
      </c>
      <c r="D21" s="5">
        <f>Metrics!$C$4/2080</f>
        <v>43.269230769230766</v>
      </c>
      <c r="E21" s="1">
        <f>Metrics!D4</f>
        <v>1</v>
      </c>
      <c r="F21" s="5">
        <f>D21*E21</f>
        <v>43.269230769230766</v>
      </c>
      <c r="G21" s="11">
        <f>2.5*Metrics!C8</f>
        <v>7.5</v>
      </c>
      <c r="H21" s="11">
        <f>G21*E21</f>
        <v>7.5</v>
      </c>
      <c r="I21" s="7">
        <f>G21*F21</f>
        <v>324.51923076923077</v>
      </c>
    </row>
    <row r="22" spans="2:9" x14ac:dyDescent="0.3">
      <c r="B22" s="1"/>
      <c r="C22" s="1"/>
      <c r="D22" s="1"/>
      <c r="E22" s="1"/>
      <c r="F22" s="1"/>
      <c r="G22" s="11"/>
      <c r="H22" s="11"/>
      <c r="I22" s="1"/>
    </row>
    <row r="23" spans="2:9" x14ac:dyDescent="0.3">
      <c r="B23" s="2" t="s">
        <v>4</v>
      </c>
      <c r="C23" s="1"/>
      <c r="D23" s="1"/>
      <c r="E23" s="1"/>
      <c r="F23" s="1"/>
      <c r="G23" s="11"/>
      <c r="H23" s="11"/>
      <c r="I23" s="1"/>
    </row>
    <row r="24" spans="2:9" x14ac:dyDescent="0.3">
      <c r="B24" s="1" t="s">
        <v>37</v>
      </c>
      <c r="C24" s="1" t="s">
        <v>28</v>
      </c>
      <c r="D24" s="5">
        <f>Metrics!$C$4/2080</f>
        <v>43.269230769230766</v>
      </c>
      <c r="E24" s="1">
        <f>Metrics!D4</f>
        <v>1</v>
      </c>
      <c r="F24" s="5">
        <f>D24*E24</f>
        <v>43.269230769230766</v>
      </c>
      <c r="G24" s="11">
        <f>2*Metrics!C8</f>
        <v>6</v>
      </c>
      <c r="H24" s="11">
        <f>G24*E24</f>
        <v>6</v>
      </c>
      <c r="I24" s="7">
        <f>G24*F24</f>
        <v>259.61538461538458</v>
      </c>
    </row>
    <row r="25" spans="2:9" x14ac:dyDescent="0.3">
      <c r="B25" s="1" t="s">
        <v>38</v>
      </c>
      <c r="C25" s="1" t="s">
        <v>28</v>
      </c>
      <c r="D25" s="5">
        <f>Metrics!$C$4/2080</f>
        <v>43.269230769230766</v>
      </c>
      <c r="E25" s="1">
        <v>1</v>
      </c>
      <c r="F25" s="5">
        <f>D25*E25</f>
        <v>43.269230769230766</v>
      </c>
      <c r="G25" s="11">
        <f>2*Metrics!C8</f>
        <v>6</v>
      </c>
      <c r="H25" s="11">
        <f>G25*E25</f>
        <v>6</v>
      </c>
      <c r="I25" s="7">
        <f>G25*F25</f>
        <v>259.61538461538458</v>
      </c>
    </row>
    <row r="26" spans="2:9" x14ac:dyDescent="0.3">
      <c r="B26" s="1" t="s">
        <v>39</v>
      </c>
      <c r="C26" s="1" t="s">
        <v>28</v>
      </c>
      <c r="D26" s="5">
        <f>Metrics!$C$4/2080</f>
        <v>43.269230769230766</v>
      </c>
      <c r="E26" s="1">
        <f>Metrics!D4</f>
        <v>1</v>
      </c>
      <c r="F26" s="5">
        <f>D26*E26</f>
        <v>43.269230769230766</v>
      </c>
      <c r="G26" s="11">
        <f>2*Metrics!C8</f>
        <v>6</v>
      </c>
      <c r="H26" s="11">
        <f>G26*E26</f>
        <v>6</v>
      </c>
      <c r="I26" s="7">
        <f>G26*F26</f>
        <v>259.61538461538458</v>
      </c>
    </row>
    <row r="27" spans="2:9" x14ac:dyDescent="0.3">
      <c r="B27" s="2"/>
      <c r="C27" s="1"/>
      <c r="D27" s="1"/>
      <c r="E27" s="1"/>
      <c r="F27" s="1"/>
      <c r="G27" s="10" t="s">
        <v>47</v>
      </c>
      <c r="H27" s="11"/>
      <c r="I27" s="1"/>
    </row>
    <row r="28" spans="2:9" x14ac:dyDescent="0.3">
      <c r="B28" s="2" t="s">
        <v>45</v>
      </c>
      <c r="C28" s="1" t="s">
        <v>46</v>
      </c>
      <c r="D28" s="5">
        <v>25</v>
      </c>
      <c r="E28" s="1">
        <f>Metrics!D6</f>
        <v>30</v>
      </c>
      <c r="F28" s="16"/>
      <c r="G28" s="11">
        <f>Metrics!C8</f>
        <v>3</v>
      </c>
      <c r="H28" s="17"/>
      <c r="I28" s="20">
        <f>D28*E28*G28</f>
        <v>2250</v>
      </c>
    </row>
    <row r="29" spans="2:9" x14ac:dyDescent="0.3">
      <c r="B29" s="2" t="s">
        <v>44</v>
      </c>
      <c r="C29" s="1"/>
      <c r="D29" s="1"/>
      <c r="E29" s="11"/>
      <c r="F29" s="1"/>
      <c r="G29" s="11"/>
      <c r="H29" s="13">
        <f>SUM(H6:H26)</f>
        <v>6481.5</v>
      </c>
      <c r="I29" s="12">
        <f>SUM(I5:I28)</f>
        <v>193521.6346153846</v>
      </c>
    </row>
    <row r="31" spans="2:9" x14ac:dyDescent="0.3">
      <c r="B31" s="14" t="str">
        <f>CONCATENATE("Savings in using SpiraTest for ", Metrics!C8, " month(s)")</f>
        <v>Savings in using SpiraTest for 3 month(s)</v>
      </c>
      <c r="C31" s="21">
        <f>'Current State'!I29-'Future State'!I29</f>
        <v>65877.403846153844</v>
      </c>
    </row>
    <row r="32" spans="2:9" x14ac:dyDescent="0.3">
      <c r="B32" s="14" t="s">
        <v>40</v>
      </c>
      <c r="C32" s="22">
        <f>C31/I28</f>
        <v>29.278846153846153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Metrics</vt:lpstr>
      <vt:lpstr>Current State</vt:lpstr>
      <vt:lpstr>Future State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2020-05-04T18:44:44Z</dcterms:modified>
</cp:coreProperties>
</file>